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<sst xmlns="http://schemas.openxmlformats.org/spreadsheetml/2006/main" count="118" uniqueCount="115">
  <si>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</si>
  <si>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</si>
  <si>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</si>
  <si>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</si>
  <si>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</si>
  <si>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</si>
  <si>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</si>
  <si>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</si>
  <si>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</si>
  <si>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</si>
  <si>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</si>
  <si>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</si>
  <si>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</si>
  <si>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</si>
  <si>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</si>
  <si>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</si>
  <si>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</si>
  <si>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</si>
  <si>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</si>
  <si>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</si>
  <si>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</si>
  <si>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</si>
  <si>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</si>
  <si>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</si>
  <si>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</si>
  <si>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</si>
  <si>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</si>
  <si>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</si>
  <si>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</si>
  <si>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</si>
  <si>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</si>
  <si>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</si>
  <si>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</si>
  <si>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</si>
  <si>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</si>
  <si>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</si>
  <si>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</si>
  <si>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</si>
  <si>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</si>
  <si>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</si>
  <si>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</si>
  <si>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</si>
  <si>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</si>
  <si>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</si>
  <si>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</si>
  <si>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</si>
  <si>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</si>
  <si>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</si>
  <si>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</si>
  <si>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</si>
  <si>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</si>
  <si>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</si>
  <si>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</si>
  <si>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</si>
  <si>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</si>
  <si>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</si>
  <si>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</si>
  <si>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</si>
  <si>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</si>
  <si>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</si>
  <si>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</si>
  <si>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</si>
  <si>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</si>
  <si>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</si>
  <si>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</si>
  <si>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</si>
  <si>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</si>
  <si>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</si>
  <si>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</si>
  <si>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</si>
  <si>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</si>
  <si>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</si>
  <si>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</si>
  <si>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</si>
  <si>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</si>
  <si>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</si>
  <si>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</si>
  <si>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</si>
  <si>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</si>
  <si>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</si>
  <si>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</si>
  <si>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</si>
  <si>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</si>
  <si>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</si>
  <si>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</si>
  <si>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</si>
  <si>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</si>
  <si>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</si>
  <si>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</si>
  <si>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</si>
  <si>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</si>
  <si>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</si>
  <si>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</si>
  <si>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</si>
  <si>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</si>
  <si>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</si>
  <si>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</si>
  <si>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</si>
  <si>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</si>
  <si>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</si>
  <si>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</si>
  <si>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</si>
  <si>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</si>
  <si>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</si>
  <si>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</si>
  <si>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</si>
  <si>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</si>
  <si>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</si>
  <si>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</si>
  <si>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</si>
  <si>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</si>
  <si>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</si>
  <si>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</si>
  <si>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4.8</t>
  </si>
  <si>
    <t>Профінансовано станом на 29.12.2015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</si>
</sst>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0" fontId="30" fillId="0" borderId="27" xfId="80" applyFont="1" applyBorder="1" applyAlignment="1">
      <alignment horizontal="center"/>
      <protection/>
    </xf>
    <xf numFmtId="0" fontId="17" fillId="0" borderId="31" xfId="80" applyFont="1" applyBorder="1">
      <alignment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31" fillId="0" borderId="0" xfId="80" applyFont="1" applyAlignment="1">
      <alignment wrapText="1"/>
      <protection/>
    </xf>
    <xf numFmtId="0" fontId="17" fillId="0" borderId="32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Fill="1" applyBorder="1" applyAlignment="1">
      <alignment horizontal="center" vertical="center"/>
      <protection/>
    </xf>
    <xf numFmtId="4" fontId="31" fillId="0" borderId="34" xfId="80" applyNumberFormat="1" applyFont="1" applyBorder="1" applyAlignment="1">
      <alignment horizontal="center" vertical="center"/>
      <protection/>
    </xf>
    <xf numFmtId="4" fontId="31" fillId="0" borderId="34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2" fontId="28" fillId="7" borderId="36" xfId="80" applyNumberFormat="1" applyFont="1" applyFill="1" applyBorder="1" applyAlignment="1">
      <alignment horizontal="center" vertical="center"/>
      <protection/>
    </xf>
    <xf numFmtId="2" fontId="30" fillId="7" borderId="37" xfId="80" applyNumberFormat="1" applyFont="1" applyFill="1" applyBorder="1" applyAlignment="1">
      <alignment horizontal="center" vertical="center"/>
      <protection/>
    </xf>
    <xf numFmtId="2" fontId="30" fillId="7" borderId="34" xfId="80" applyNumberFormat="1" applyFont="1" applyFill="1" applyBorder="1" applyAlignment="1">
      <alignment horizontal="center" vertical="center"/>
      <protection/>
    </xf>
    <xf numFmtId="2" fontId="30" fillId="7" borderId="35" xfId="80" applyNumberFormat="1" applyFont="1" applyFill="1" applyBorder="1" applyAlignment="1">
      <alignment horizontal="center" vertical="center"/>
      <protection/>
    </xf>
    <xf numFmtId="2" fontId="30" fillId="7" borderId="38" xfId="80" applyNumberFormat="1" applyFont="1" applyFill="1" applyBorder="1" applyAlignment="1">
      <alignment horizontal="center" vertical="center"/>
      <protection/>
    </xf>
    <xf numFmtId="2" fontId="30" fillId="7" borderId="39" xfId="80" applyNumberFormat="1" applyFont="1" applyFill="1" applyBorder="1" applyAlignment="1">
      <alignment horizontal="center" vertical="center"/>
      <protection/>
    </xf>
    <xf numFmtId="2" fontId="30" fillId="0" borderId="39" xfId="80" applyNumberFormat="1" applyFont="1" applyFill="1" applyBorder="1" applyAlignment="1">
      <alignment horizontal="center" vertical="center"/>
      <protection/>
    </xf>
    <xf numFmtId="0" fontId="28" fillId="7" borderId="40" xfId="80" applyFont="1" applyFill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2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="55" zoomScaleNormal="55" zoomScalePageLayoutView="0" workbookViewId="0" topLeftCell="A43">
      <selection activeCell="Q13" sqref="Q13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customWidth="1"/>
    <col min="12" max="13" width="8.00390625" style="4" customWidth="1"/>
    <col min="14" max="14" width="10.28125" style="4" hidden="1" customWidth="1"/>
    <col min="15" max="16" width="8.00390625" style="4" customWidth="1"/>
    <col min="17" max="17" width="17.28125" style="4" bestFit="1" customWidth="1"/>
    <col min="18" max="16384" width="8.00390625" style="4" customWidth="1"/>
  </cols>
  <sheetData>
    <row r="1" spans="1:10" s="1" customFormat="1" ht="36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9"/>
    </row>
    <row r="2" spans="1:10" s="1" customFormat="1" ht="25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8"/>
    </row>
    <row r="3" spans="1:11" s="1" customFormat="1" ht="25.5" customHeight="1">
      <c r="A3" s="170" t="s">
        <v>1</v>
      </c>
      <c r="B3" s="173" t="s">
        <v>2</v>
      </c>
      <c r="C3" s="174" t="s">
        <v>3</v>
      </c>
      <c r="D3" s="175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68" t="s">
        <v>114</v>
      </c>
      <c r="K3" s="158" t="s">
        <v>112</v>
      </c>
    </row>
    <row r="4" spans="1:11" s="1" customFormat="1" ht="20.25" customHeight="1">
      <c r="A4" s="171"/>
      <c r="B4" s="173"/>
      <c r="C4" s="174"/>
      <c r="D4" s="175"/>
      <c r="E4" s="162"/>
      <c r="F4" s="162"/>
      <c r="G4" s="162"/>
      <c r="H4" s="162"/>
      <c r="I4" s="163"/>
      <c r="J4" s="169"/>
      <c r="K4" s="159"/>
    </row>
    <row r="5" spans="1:11" s="1" customFormat="1" ht="34.5" customHeight="1">
      <c r="A5" s="171"/>
      <c r="B5" s="2"/>
      <c r="C5" s="174"/>
      <c r="D5" s="3"/>
      <c r="E5" s="162"/>
      <c r="F5" s="162"/>
      <c r="G5" s="162" t="s">
        <v>8</v>
      </c>
      <c r="H5" s="162" t="s">
        <v>9</v>
      </c>
      <c r="I5" s="99" t="s">
        <v>10</v>
      </c>
      <c r="J5" s="169"/>
      <c r="K5" s="159"/>
    </row>
    <row r="6" spans="1:11" ht="36.75" customHeight="1">
      <c r="A6" s="172"/>
      <c r="B6" s="2"/>
      <c r="C6" s="174"/>
      <c r="D6" s="3"/>
      <c r="E6" s="162"/>
      <c r="F6" s="162"/>
      <c r="G6" s="162"/>
      <c r="H6" s="162"/>
      <c r="I6" s="99" t="s">
        <v>11</v>
      </c>
      <c r="J6" s="169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3"/>
      <c r="K7" s="134"/>
    </row>
    <row r="8" spans="1:11" ht="38.25" thickBot="1">
      <c r="A8" s="34" t="s">
        <v>12</v>
      </c>
      <c r="B8" s="35"/>
      <c r="C8" s="36" t="s">
        <v>60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2167153.35</v>
      </c>
      <c r="K8" s="151">
        <f>J8/E8*100</f>
        <v>92.04198963389179</v>
      </c>
    </row>
    <row r="9" spans="1:11" ht="56.25">
      <c r="A9" s="38" t="s">
        <v>14</v>
      </c>
      <c r="B9" s="39"/>
      <c r="C9" s="40" t="s">
        <v>22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52">
        <f aca="true" t="shared" si="0" ref="K9:K62">J9/E9*100</f>
        <v>100</v>
      </c>
    </row>
    <row r="10" spans="1:11" ht="56.25">
      <c r="A10" s="78" t="s">
        <v>16</v>
      </c>
      <c r="B10" s="7"/>
      <c r="C10" s="10" t="s">
        <v>26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53">
        <f t="shared" si="0"/>
        <v>0</v>
      </c>
    </row>
    <row r="11" spans="1:11" ht="32.25" thickBot="1">
      <c r="A11" s="44" t="s">
        <v>110</v>
      </c>
      <c r="B11" s="108"/>
      <c r="C11" s="109" t="s">
        <v>24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f>997774+662490.8+22213.01+276306.44</f>
        <v>1958784.25</v>
      </c>
      <c r="K11" s="154">
        <f t="shared" si="0"/>
        <v>92.17195042417342</v>
      </c>
    </row>
    <row r="12" spans="1:11" ht="19.5" thickBot="1">
      <c r="A12" s="34" t="s">
        <v>61</v>
      </c>
      <c r="B12" s="51"/>
      <c r="C12" s="52" t="s">
        <v>62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SUM(J13:J18)</f>
        <v>915630.51</v>
      </c>
      <c r="K12" s="151">
        <f t="shared" si="0"/>
        <v>58.55092404360387</v>
      </c>
    </row>
    <row r="13" spans="1:17" ht="75">
      <c r="A13" s="38" t="s">
        <v>29</v>
      </c>
      <c r="B13" s="39"/>
      <c r="C13" s="53" t="s">
        <v>49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52">
        <f t="shared" si="0"/>
        <v>99.99988229191219</v>
      </c>
      <c r="N13" s="136">
        <f>(J13+J14+J18+J20+J21+J22+J23+J24+J25+J26+J27+J28)/F62*100</f>
        <v>92.15000677718788</v>
      </c>
      <c r="Q13" s="26">
        <f>J8+J12+J19+J31+J43+J51+J54</f>
        <v>17264291.44</v>
      </c>
    </row>
    <row r="14" spans="1:11" ht="37.5">
      <c r="A14" s="6" t="s">
        <v>31</v>
      </c>
      <c r="B14" s="7"/>
      <c r="C14" s="18" t="s">
        <v>51</v>
      </c>
      <c r="D14" s="5"/>
      <c r="E14" s="5">
        <v>100000</v>
      </c>
      <c r="F14" s="5">
        <v>100000</v>
      </c>
      <c r="G14" s="8"/>
      <c r="H14" s="8"/>
      <c r="I14" s="55"/>
      <c r="J14" s="137">
        <v>0</v>
      </c>
      <c r="K14" s="153">
        <f t="shared" si="0"/>
        <v>0</v>
      </c>
    </row>
    <row r="15" spans="1:11" ht="18.75">
      <c r="A15" s="6" t="s">
        <v>33</v>
      </c>
      <c r="B15" s="7"/>
      <c r="C15" s="18" t="s">
        <v>98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37">
        <f>40249.08+149708.52+15475.8-300+111801.6-229.61</f>
        <v>316705.39</v>
      </c>
      <c r="K15" s="153">
        <f t="shared" si="0"/>
        <v>67.38412553191489</v>
      </c>
    </row>
    <row r="16" spans="1:14" ht="37.5">
      <c r="A16" s="6" t="s">
        <v>35</v>
      </c>
      <c r="B16" s="7"/>
      <c r="C16" s="18" t="s">
        <v>101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38">
        <v>290075.3</v>
      </c>
      <c r="K16" s="153">
        <f t="shared" si="0"/>
        <v>98.34097764204971</v>
      </c>
      <c r="N16" s="135" t="e">
        <f>(J9+J10+J11+J15+J16+J17+J29+J30+J32+J33+#REF!+J34+J35+#REF!+J36+J37+J38+J40+J44+J45+J46+J47+J48+J49+J50+J52+J53+J55+J57+J58+J59+J60+J61)/(G62+H62)*100</f>
        <v>#REF!</v>
      </c>
    </row>
    <row r="17" spans="1:11" ht="41.25" customHeight="1">
      <c r="A17" s="6" t="s">
        <v>99</v>
      </c>
      <c r="B17" s="7"/>
      <c r="C17" s="101" t="s">
        <v>102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37">
        <v>0</v>
      </c>
      <c r="K17" s="153">
        <f t="shared" si="0"/>
        <v>0</v>
      </c>
    </row>
    <row r="18" spans="1:11" ht="38.25" customHeight="1" thickBot="1">
      <c r="A18" s="64" t="s">
        <v>100</v>
      </c>
      <c r="B18" s="113"/>
      <c r="C18" s="109" t="s">
        <v>111</v>
      </c>
      <c r="D18" s="112"/>
      <c r="E18" s="110">
        <v>20000</v>
      </c>
      <c r="F18" s="110">
        <v>20000</v>
      </c>
      <c r="G18" s="112"/>
      <c r="H18" s="112"/>
      <c r="I18" s="116"/>
      <c r="J18" s="139">
        <v>20000</v>
      </c>
      <c r="K18" s="154">
        <f t="shared" si="0"/>
        <v>100</v>
      </c>
    </row>
    <row r="19" spans="1:11" ht="19.5" thickBot="1">
      <c r="A19" s="34" t="s">
        <v>63</v>
      </c>
      <c r="B19" s="114"/>
      <c r="C19" s="115" t="s">
        <v>64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4723059.97</v>
      </c>
      <c r="K19" s="151">
        <f t="shared" si="0"/>
        <v>85.84799924081014</v>
      </c>
    </row>
    <row r="20" spans="1:11" ht="37.5">
      <c r="A20" s="38" t="s">
        <v>41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0">
        <f>13441.5+170683.5</f>
        <v>184125</v>
      </c>
      <c r="K20" s="152">
        <f t="shared" si="0"/>
        <v>100</v>
      </c>
    </row>
    <row r="21" spans="1:11" ht="97.5" customHeight="1">
      <c r="A21" s="6" t="s">
        <v>43</v>
      </c>
      <c r="B21" s="7"/>
      <c r="C21" s="9" t="s">
        <v>109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37">
        <f>545390+126250+77500+112859+11430+68632.1+403172+22383.9+8550+585739.7+17100+13972.4+2275.2+205831.35+66900+119626.35+26344.4+189848.55+70391+306646.6+16000+41796.1+23148.6+63870</f>
        <v>3125657.25</v>
      </c>
      <c r="K21" s="153">
        <f t="shared" si="0"/>
        <v>99.29855793533945</v>
      </c>
    </row>
    <row r="22" spans="1:11" ht="56.25">
      <c r="A22" s="6" t="s">
        <v>45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37">
        <f>42731+11310+34146.4</f>
        <v>88187.4</v>
      </c>
      <c r="K22" s="153">
        <f t="shared" si="0"/>
        <v>99.9959179508113</v>
      </c>
    </row>
    <row r="23" spans="1:11" ht="42.75" customHeight="1">
      <c r="A23" s="6" t="s">
        <v>65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37">
        <f>31328.5+39760+81116+82065.5</f>
        <v>234270</v>
      </c>
      <c r="K23" s="153">
        <f t="shared" si="0"/>
        <v>100</v>
      </c>
    </row>
    <row r="24" spans="1:11" ht="20.25" customHeight="1">
      <c r="A24" s="6" t="s">
        <v>66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37">
        <f>167084.25+114677.94</f>
        <v>281762.19</v>
      </c>
      <c r="K24" s="153">
        <f t="shared" si="0"/>
        <v>99.91567021276596</v>
      </c>
    </row>
    <row r="25" spans="1:11" ht="18.75">
      <c r="A25" s="6" t="s">
        <v>67</v>
      </c>
      <c r="B25" s="7"/>
      <c r="C25" s="10" t="s">
        <v>30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37">
        <f>33375+20025+35600</f>
        <v>89000</v>
      </c>
      <c r="K25" s="153">
        <f t="shared" si="0"/>
        <v>41.93168433451119</v>
      </c>
    </row>
    <row r="26" spans="1:11" ht="37.5">
      <c r="A26" s="6" t="s">
        <v>68</v>
      </c>
      <c r="B26" s="7"/>
      <c r="C26" s="16" t="s">
        <v>32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37">
        <f>68592+32228+20777.94+107115.12+89525.52+69310.08</f>
        <v>387548.66000000003</v>
      </c>
      <c r="K26" s="153">
        <f t="shared" si="0"/>
        <v>72.34256314759466</v>
      </c>
    </row>
    <row r="27" spans="1:11" ht="56.25">
      <c r="A27" s="6" t="s">
        <v>69</v>
      </c>
      <c r="B27" s="7"/>
      <c r="C27" s="11" t="s">
        <v>42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37">
        <v>40000</v>
      </c>
      <c r="K27" s="153">
        <f t="shared" si="0"/>
        <v>100</v>
      </c>
    </row>
    <row r="28" spans="1:11" ht="37.5">
      <c r="A28" s="6" t="s">
        <v>70</v>
      </c>
      <c r="B28" s="7"/>
      <c r="C28" s="18" t="s">
        <v>44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37">
        <v>0</v>
      </c>
      <c r="K28" s="153">
        <f t="shared" si="0"/>
        <v>0</v>
      </c>
    </row>
    <row r="29" spans="1:11" ht="37.5">
      <c r="A29" s="6" t="s">
        <v>71</v>
      </c>
      <c r="B29" s="7"/>
      <c r="C29" s="10" t="s">
        <v>38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53">
        <f t="shared" si="0"/>
        <v>100</v>
      </c>
    </row>
    <row r="30" spans="1:11" ht="38.25" thickBot="1">
      <c r="A30" s="64" t="s">
        <v>72</v>
      </c>
      <c r="B30" s="45"/>
      <c r="C30" s="65" t="s">
        <v>39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54">
        <f t="shared" si="0"/>
        <v>0</v>
      </c>
    </row>
    <row r="31" spans="1:11" ht="38.25" thickBot="1">
      <c r="A31" s="34" t="s">
        <v>73</v>
      </c>
      <c r="B31" s="35"/>
      <c r="C31" s="36" t="s">
        <v>13</v>
      </c>
      <c r="D31" s="68"/>
      <c r="E31" s="58">
        <f aca="true" t="shared" si="3" ref="E31:J31">SUM(E32:E41)</f>
        <v>8786127.26</v>
      </c>
      <c r="F31" s="58">
        <f t="shared" si="3"/>
        <v>0</v>
      </c>
      <c r="G31" s="58">
        <f t="shared" si="3"/>
        <v>1765868</v>
      </c>
      <c r="H31" s="58">
        <f t="shared" si="3"/>
        <v>7020259.26</v>
      </c>
      <c r="I31" s="58">
        <f t="shared" si="3"/>
        <v>0</v>
      </c>
      <c r="J31" s="117">
        <f t="shared" si="3"/>
        <v>6386464.41</v>
      </c>
      <c r="K31" s="151">
        <f t="shared" si="0"/>
        <v>72.68804811279276</v>
      </c>
    </row>
    <row r="32" spans="1:11" ht="37.5">
      <c r="A32" s="69" t="s">
        <v>48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45">
        <f>10259.58+5151+4605.6+4060.2+4605.6+4848+5108.58+5211.6+5211.6</f>
        <v>49061.76</v>
      </c>
      <c r="K32" s="155">
        <f t="shared" si="0"/>
        <v>90.85511111111111</v>
      </c>
    </row>
    <row r="33" spans="1:11" ht="79.5" customHeight="1">
      <c r="A33" s="6" t="s">
        <v>50</v>
      </c>
      <c r="B33" s="7"/>
      <c r="C33" s="18" t="s">
        <v>74</v>
      </c>
      <c r="D33" s="5"/>
      <c r="E33" s="8">
        <f>SUM(F33:I33)</f>
        <v>1466368</v>
      </c>
      <c r="F33" s="5"/>
      <c r="G33" s="8">
        <f>600000+881368-15000</f>
        <v>1466368</v>
      </c>
      <c r="H33" s="8"/>
      <c r="I33" s="55"/>
      <c r="J33" s="146">
        <f>758735+86350+24715+60200</f>
        <v>930000</v>
      </c>
      <c r="K33" s="156">
        <f t="shared" si="0"/>
        <v>63.422005935754186</v>
      </c>
    </row>
    <row r="34" spans="1:11" ht="37.5">
      <c r="A34" s="6" t="s">
        <v>52</v>
      </c>
      <c r="B34" s="7"/>
      <c r="C34" s="77" t="s">
        <v>21</v>
      </c>
      <c r="D34" s="5"/>
      <c r="E34" s="8">
        <f>SUM(F34:I34)</f>
        <v>95500</v>
      </c>
      <c r="F34" s="5"/>
      <c r="G34" s="8">
        <v>95500</v>
      </c>
      <c r="H34" s="8"/>
      <c r="I34" s="55"/>
      <c r="J34" s="146">
        <v>0</v>
      </c>
      <c r="K34" s="156">
        <f t="shared" si="0"/>
        <v>0</v>
      </c>
    </row>
    <row r="35" spans="1:11" ht="37.5">
      <c r="A35" s="6" t="s">
        <v>54</v>
      </c>
      <c r="B35" s="7"/>
      <c r="C35" s="18" t="s">
        <v>23</v>
      </c>
      <c r="D35" s="13"/>
      <c r="E35" s="14">
        <f>H35</f>
        <v>495875</v>
      </c>
      <c r="F35" s="15"/>
      <c r="G35" s="8"/>
      <c r="H35" s="8">
        <f>495875+I35</f>
        <v>495875</v>
      </c>
      <c r="I35" s="63"/>
      <c r="J35" s="147">
        <v>3500</v>
      </c>
      <c r="K35" s="156">
        <f t="shared" si="0"/>
        <v>0.7058230400806654</v>
      </c>
    </row>
    <row r="36" spans="1:11" ht="37.5">
      <c r="A36" s="6" t="s">
        <v>56</v>
      </c>
      <c r="B36" s="7"/>
      <c r="C36" s="18" t="s">
        <v>25</v>
      </c>
      <c r="D36" s="13"/>
      <c r="E36" s="14">
        <f>F36+G36+H36</f>
        <v>2368741</v>
      </c>
      <c r="F36" s="15"/>
      <c r="G36" s="8"/>
      <c r="H36" s="8">
        <f>1580000+320000+78325.74+40556.63+99858.63+250000</f>
        <v>2368741</v>
      </c>
      <c r="I36" s="63"/>
      <c r="J36" s="147">
        <f>917901+383753.96+20028+469657.46+4520.08+879558</f>
        <v>2675418.5</v>
      </c>
      <c r="K36" s="156">
        <f t="shared" si="0"/>
        <v>112.94685657908568</v>
      </c>
    </row>
    <row r="37" spans="1:11" ht="55.5" customHeight="1">
      <c r="A37" s="6" t="s">
        <v>58</v>
      </c>
      <c r="B37" s="7"/>
      <c r="C37" s="18" t="s">
        <v>26</v>
      </c>
      <c r="D37" s="5"/>
      <c r="E37" s="14">
        <f>F37+G37+H37</f>
        <v>3475337</v>
      </c>
      <c r="F37" s="15"/>
      <c r="G37" s="8"/>
      <c r="H37" s="8">
        <f>2661910-200000-21016.37+1075000-40556.63</f>
        <v>3475337</v>
      </c>
      <c r="I37" s="79"/>
      <c r="J37" s="146">
        <f>1634000+251758.07+708094.08</f>
        <v>2593852.15</v>
      </c>
      <c r="K37" s="156">
        <f t="shared" si="0"/>
        <v>74.63598925802015</v>
      </c>
    </row>
    <row r="38" spans="1:11" ht="40.5" customHeight="1">
      <c r="A38" s="6" t="s">
        <v>75</v>
      </c>
      <c r="B38" s="7"/>
      <c r="C38" s="18" t="s">
        <v>27</v>
      </c>
      <c r="D38" s="13"/>
      <c r="E38" s="14">
        <f>H38</f>
        <v>666674.26</v>
      </c>
      <c r="F38" s="15"/>
      <c r="G38" s="8"/>
      <c r="H38" s="8">
        <f>745000-78325.74</f>
        <v>666674.26</v>
      </c>
      <c r="I38" s="63"/>
      <c r="J38" s="147">
        <v>0</v>
      </c>
      <c r="K38" s="156">
        <f t="shared" si="0"/>
        <v>0</v>
      </c>
    </row>
    <row r="39" spans="1:11" ht="20.25" customHeight="1">
      <c r="A39" s="6"/>
      <c r="B39" s="7"/>
      <c r="C39" s="102" t="s">
        <v>103</v>
      </c>
      <c r="D39" s="5"/>
      <c r="E39" s="8"/>
      <c r="F39" s="103"/>
      <c r="G39" s="104"/>
      <c r="H39" s="104"/>
      <c r="I39" s="79"/>
      <c r="J39" s="146"/>
      <c r="K39" s="157"/>
    </row>
    <row r="40" spans="1:11" ht="79.5" customHeight="1">
      <c r="A40" s="6" t="s">
        <v>113</v>
      </c>
      <c r="B40" s="7"/>
      <c r="C40" s="11" t="s">
        <v>104</v>
      </c>
      <c r="D40" s="5"/>
      <c r="E40" s="50">
        <f>H40</f>
        <v>13632</v>
      </c>
      <c r="F40" s="47"/>
      <c r="G40" s="50"/>
      <c r="H40" s="8">
        <f>1045000-1031368</f>
        <v>13632</v>
      </c>
      <c r="I40" s="81"/>
      <c r="J40" s="148">
        <v>13632</v>
      </c>
      <c r="K40" s="156">
        <f t="shared" si="0"/>
        <v>100</v>
      </c>
    </row>
    <row r="41" spans="1:11" ht="39.75" customHeight="1" thickBot="1">
      <c r="A41" s="6" t="s">
        <v>76</v>
      </c>
      <c r="B41" s="7"/>
      <c r="C41" s="142" t="s">
        <v>17</v>
      </c>
      <c r="E41" s="149">
        <f>G41</f>
        <v>150000</v>
      </c>
      <c r="F41" s="149"/>
      <c r="G41" s="149">
        <v>150000</v>
      </c>
      <c r="I41" s="144"/>
      <c r="J41" s="150">
        <f>23185+8325+22640+39830+27020</f>
        <v>121000</v>
      </c>
      <c r="K41" s="156">
        <f t="shared" si="0"/>
        <v>80.66666666666666</v>
      </c>
    </row>
    <row r="42" spans="1:11" ht="19.5" hidden="1" thickBot="1">
      <c r="A42" s="64"/>
      <c r="B42" s="45"/>
      <c r="C42" s="80"/>
      <c r="D42" s="47"/>
      <c r="E42" s="104"/>
      <c r="F42" s="103"/>
      <c r="G42" s="104"/>
      <c r="H42" s="104"/>
      <c r="I42" s="143"/>
      <c r="J42" s="128"/>
      <c r="K42" s="154" t="e">
        <f t="shared" si="0"/>
        <v>#DIV/0!</v>
      </c>
    </row>
    <row r="43" spans="1:11" ht="19.5" thickBot="1">
      <c r="A43" s="82" t="s">
        <v>77</v>
      </c>
      <c r="B43" s="35"/>
      <c r="C43" s="52" t="s">
        <v>28</v>
      </c>
      <c r="D43" s="83"/>
      <c r="E43" s="84">
        <f aca="true" t="shared" si="4" ref="E43:J43">SUM(E44:E50)</f>
        <v>3272770.4</v>
      </c>
      <c r="F43" s="84">
        <f t="shared" si="4"/>
        <v>0</v>
      </c>
      <c r="G43" s="84">
        <f t="shared" si="4"/>
        <v>1445000</v>
      </c>
      <c r="H43" s="84">
        <f t="shared" si="4"/>
        <v>1827770.4</v>
      </c>
      <c r="I43" s="85">
        <f t="shared" si="4"/>
        <v>0</v>
      </c>
      <c r="J43" s="129">
        <f t="shared" si="4"/>
        <v>1660704.2300000002</v>
      </c>
      <c r="K43" s="151">
        <f t="shared" si="0"/>
        <v>50.743071680188756</v>
      </c>
    </row>
    <row r="44" spans="1:11" ht="18.75">
      <c r="A44" s="38" t="s">
        <v>78</v>
      </c>
      <c r="B44" s="39"/>
      <c r="C44" s="53" t="s">
        <v>79</v>
      </c>
      <c r="D44" s="41"/>
      <c r="E44" s="42">
        <f>SUM(F44:I44)</f>
        <v>300000</v>
      </c>
      <c r="F44" s="41"/>
      <c r="G44" s="42">
        <v>300000</v>
      </c>
      <c r="H44" s="42"/>
      <c r="I44" s="86"/>
      <c r="J44" s="124">
        <f>107765+95775+30960</f>
        <v>234500</v>
      </c>
      <c r="K44" s="152">
        <f t="shared" si="0"/>
        <v>78.16666666666666</v>
      </c>
    </row>
    <row r="45" spans="1:11" ht="21.75" customHeight="1">
      <c r="A45" s="6" t="s">
        <v>80</v>
      </c>
      <c r="B45" s="7"/>
      <c r="C45" s="18" t="s">
        <v>34</v>
      </c>
      <c r="D45" s="5"/>
      <c r="E45" s="8">
        <f>SUM(F45:I45)</f>
        <v>100000</v>
      </c>
      <c r="F45" s="5"/>
      <c r="G45" s="8">
        <v>100000</v>
      </c>
      <c r="H45" s="8"/>
      <c r="I45" s="55"/>
      <c r="J45" s="121">
        <v>98550</v>
      </c>
      <c r="K45" s="153">
        <f t="shared" si="0"/>
        <v>98.55000000000001</v>
      </c>
    </row>
    <row r="46" spans="1:11" ht="37.5" customHeight="1">
      <c r="A46" s="6" t="s">
        <v>81</v>
      </c>
      <c r="B46" s="7"/>
      <c r="C46" s="87" t="s">
        <v>36</v>
      </c>
      <c r="D46" s="5"/>
      <c r="E46" s="8">
        <f>SUM(F46:I46)</f>
        <v>955000</v>
      </c>
      <c r="F46" s="12"/>
      <c r="G46" s="12">
        <v>955000</v>
      </c>
      <c r="H46" s="8"/>
      <c r="I46" s="56"/>
      <c r="J46" s="121">
        <v>0</v>
      </c>
      <c r="K46" s="153">
        <f t="shared" si="0"/>
        <v>0</v>
      </c>
    </row>
    <row r="47" spans="1:11" ht="39" customHeight="1">
      <c r="A47" s="6" t="s">
        <v>82</v>
      </c>
      <c r="B47" s="7"/>
      <c r="C47" s="18" t="s">
        <v>37</v>
      </c>
      <c r="D47" s="5"/>
      <c r="E47" s="8">
        <f>SUM(F47:I47)</f>
        <v>90000</v>
      </c>
      <c r="F47" s="5"/>
      <c r="G47" s="8">
        <v>90000</v>
      </c>
      <c r="H47" s="8"/>
      <c r="I47" s="55"/>
      <c r="J47" s="121">
        <v>0</v>
      </c>
      <c r="K47" s="153">
        <f t="shared" si="0"/>
        <v>0</v>
      </c>
    </row>
    <row r="48" spans="1:11" ht="37.5">
      <c r="A48" s="6" t="s">
        <v>83</v>
      </c>
      <c r="B48" s="7"/>
      <c r="C48" s="18" t="s">
        <v>84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3"/>
      <c r="J48" s="125">
        <f>114852.65+89939.35+1723.32+1305.29+3697.92</f>
        <v>211518.53000000003</v>
      </c>
      <c r="K48" s="153">
        <f t="shared" si="0"/>
        <v>85.36876479192026</v>
      </c>
    </row>
    <row r="49" spans="1:11" ht="37.5">
      <c r="A49" s="6" t="s">
        <v>85</v>
      </c>
      <c r="B49" s="7"/>
      <c r="C49" s="18" t="s">
        <v>86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3"/>
      <c r="J49" s="125">
        <f>39044.7+90999.88+496210.7+7338.31+7033.92+471562.9+3945.29</f>
        <v>1116135.7000000002</v>
      </c>
      <c r="K49" s="153">
        <f t="shared" si="0"/>
        <v>98.77307079646019</v>
      </c>
    </row>
    <row r="50" spans="1:11" ht="39" customHeight="1" thickBot="1">
      <c r="A50" s="64" t="s">
        <v>87</v>
      </c>
      <c r="B50" s="45"/>
      <c r="C50" s="88" t="s">
        <v>40</v>
      </c>
      <c r="D50" s="66"/>
      <c r="E50" s="48">
        <v>450000</v>
      </c>
      <c r="F50" s="49"/>
      <c r="G50" s="50"/>
      <c r="H50" s="50">
        <v>450000</v>
      </c>
      <c r="I50" s="67"/>
      <c r="J50" s="126">
        <v>0</v>
      </c>
      <c r="K50" s="154">
        <f t="shared" si="0"/>
        <v>0</v>
      </c>
    </row>
    <row r="51" spans="1:11" ht="38.25" thickBot="1">
      <c r="A51" s="82" t="s">
        <v>88</v>
      </c>
      <c r="B51" s="35"/>
      <c r="C51" s="89" t="s">
        <v>89</v>
      </c>
      <c r="D51" s="83"/>
      <c r="E51" s="84">
        <f>SUM(E52:E53)</f>
        <v>100000</v>
      </c>
      <c r="F51" s="84">
        <f>SUM(F52:F52)</f>
        <v>0</v>
      </c>
      <c r="G51" s="84">
        <f>SUM(G52:G53)</f>
        <v>100000</v>
      </c>
      <c r="H51" s="84">
        <f>SUM(H52:H53)</f>
        <v>0</v>
      </c>
      <c r="I51" s="85">
        <f>SUM(I52:I52)</f>
        <v>0</v>
      </c>
      <c r="J51" s="129">
        <f>SUM(J52:J53)</f>
        <v>40000</v>
      </c>
      <c r="K51" s="151">
        <f t="shared" si="0"/>
        <v>40</v>
      </c>
    </row>
    <row r="52" spans="1:11" ht="37.5" customHeight="1">
      <c r="A52" s="38" t="s">
        <v>90</v>
      </c>
      <c r="B52" s="39"/>
      <c r="C52" s="90" t="s">
        <v>91</v>
      </c>
      <c r="D52" s="41"/>
      <c r="E52" s="42">
        <f>SUM(F52:G52)</f>
        <v>40000</v>
      </c>
      <c r="F52" s="41"/>
      <c r="G52" s="42">
        <v>40000</v>
      </c>
      <c r="H52" s="42"/>
      <c r="I52" s="86"/>
      <c r="J52" s="124">
        <v>40000</v>
      </c>
      <c r="K52" s="152">
        <f t="shared" si="0"/>
        <v>100</v>
      </c>
    </row>
    <row r="53" spans="1:11" ht="19.5" thickBot="1">
      <c r="A53" s="64" t="s">
        <v>92</v>
      </c>
      <c r="B53" s="45"/>
      <c r="C53" s="88" t="s">
        <v>46</v>
      </c>
      <c r="D53" s="47"/>
      <c r="E53" s="50">
        <v>60000</v>
      </c>
      <c r="F53" s="47"/>
      <c r="G53" s="50">
        <v>60000</v>
      </c>
      <c r="H53" s="50"/>
      <c r="I53" s="81"/>
      <c r="J53" s="130">
        <v>0</v>
      </c>
      <c r="K53" s="154">
        <f t="shared" si="0"/>
        <v>0</v>
      </c>
    </row>
    <row r="54" spans="1:11" ht="19.5" thickBot="1">
      <c r="A54" s="91" t="s">
        <v>93</v>
      </c>
      <c r="B54" s="92"/>
      <c r="C54" s="52" t="s">
        <v>47</v>
      </c>
      <c r="D54" s="83"/>
      <c r="E54" s="84">
        <f>SUM(E55:E61)</f>
        <v>1518518.2799999998</v>
      </c>
      <c r="F54" s="84">
        <f>SUM(F55:F60)</f>
        <v>0</v>
      </c>
      <c r="G54" s="84">
        <f>SUM(G55:G60)</f>
        <v>109204.44</v>
      </c>
      <c r="H54" s="84">
        <f>SUM(H55:H61)</f>
        <v>1409313.8399999999</v>
      </c>
      <c r="I54" s="85">
        <f>SUM(I55:I60)</f>
        <v>0</v>
      </c>
      <c r="J54" s="129">
        <f>SUM(J55:J61)</f>
        <v>1371278.9700000002</v>
      </c>
      <c r="K54" s="151">
        <f t="shared" si="0"/>
        <v>90.30375123307705</v>
      </c>
    </row>
    <row r="55" spans="1:11" ht="75">
      <c r="A55" s="38" t="s">
        <v>94</v>
      </c>
      <c r="B55" s="39"/>
      <c r="C55" s="53" t="s">
        <v>49</v>
      </c>
      <c r="D55" s="41"/>
      <c r="E55" s="41">
        <f>F55+G55</f>
        <v>15024.44</v>
      </c>
      <c r="F55" s="41"/>
      <c r="G55" s="42">
        <f>24.44+15000</f>
        <v>15024.44</v>
      </c>
      <c r="H55" s="42"/>
      <c r="I55" s="86"/>
      <c r="J55" s="118">
        <v>15000</v>
      </c>
      <c r="K55" s="152">
        <f t="shared" si="0"/>
        <v>99.83733170753784</v>
      </c>
    </row>
    <row r="56" spans="1:11" ht="18.75" hidden="1">
      <c r="A56" s="6"/>
      <c r="B56" s="7"/>
      <c r="C56" s="18"/>
      <c r="D56" s="5"/>
      <c r="E56" s="5"/>
      <c r="F56" s="5"/>
      <c r="G56" s="8"/>
      <c r="H56" s="8"/>
      <c r="I56" s="55"/>
      <c r="J56" s="121"/>
      <c r="K56" s="153" t="e">
        <f t="shared" si="0"/>
        <v>#DIV/0!</v>
      </c>
    </row>
    <row r="57" spans="1:11" ht="18.75">
      <c r="A57" s="6" t="s">
        <v>95</v>
      </c>
      <c r="B57" s="7"/>
      <c r="C57" s="18" t="s">
        <v>53</v>
      </c>
      <c r="D57" s="5"/>
      <c r="E57" s="5">
        <v>94180</v>
      </c>
      <c r="F57" s="5"/>
      <c r="G57" s="8">
        <f>E57</f>
        <v>94180</v>
      </c>
      <c r="H57" s="8"/>
      <c r="I57" s="55"/>
      <c r="J57" s="121">
        <v>0</v>
      </c>
      <c r="K57" s="153">
        <f t="shared" si="0"/>
        <v>0</v>
      </c>
    </row>
    <row r="58" spans="1:11" ht="38.25" customHeight="1">
      <c r="A58" s="6" t="s">
        <v>96</v>
      </c>
      <c r="B58" s="7"/>
      <c r="C58" s="10" t="s">
        <v>55</v>
      </c>
      <c r="D58" s="13"/>
      <c r="E58" s="14">
        <f>H58</f>
        <v>600282.74</v>
      </c>
      <c r="F58" s="14"/>
      <c r="G58" s="8"/>
      <c r="H58" s="8">
        <f>150000+225141.37+225141.37-225141.37+225141.37</f>
        <v>600282.74</v>
      </c>
      <c r="I58" s="57"/>
      <c r="J58" s="131">
        <f>225141.37+110112+256922.4</f>
        <v>592175.77</v>
      </c>
      <c r="K58" s="153">
        <f t="shared" si="0"/>
        <v>98.64947474585061</v>
      </c>
    </row>
    <row r="59" spans="1:11" ht="23.25" customHeight="1">
      <c r="A59" s="64" t="s">
        <v>97</v>
      </c>
      <c r="B59" s="45"/>
      <c r="C59" s="46" t="s">
        <v>57</v>
      </c>
      <c r="D59" s="66"/>
      <c r="E59" s="48">
        <f>H59</f>
        <v>200000</v>
      </c>
      <c r="F59" s="48"/>
      <c r="G59" s="50"/>
      <c r="H59" s="50">
        <v>200000</v>
      </c>
      <c r="I59" s="93"/>
      <c r="J59" s="122">
        <f>59915+139803.4</f>
        <v>199718.4</v>
      </c>
      <c r="K59" s="153">
        <f t="shared" si="0"/>
        <v>99.85919999999999</v>
      </c>
    </row>
    <row r="60" spans="1:11" ht="23.25" customHeight="1">
      <c r="A60" s="6" t="s">
        <v>105</v>
      </c>
      <c r="B60" s="7"/>
      <c r="C60" s="10" t="s">
        <v>106</v>
      </c>
      <c r="D60" s="13"/>
      <c r="E60" s="14">
        <f>H60</f>
        <v>295000</v>
      </c>
      <c r="F60" s="14"/>
      <c r="G60" s="8"/>
      <c r="H60" s="8">
        <v>295000</v>
      </c>
      <c r="I60" s="57"/>
      <c r="J60" s="131">
        <f>10653.93+24859.17+111316.2+3303+1726.18+1278+99110.18</f>
        <v>252246.65999999997</v>
      </c>
      <c r="K60" s="153">
        <f t="shared" si="0"/>
        <v>85.50734237288134</v>
      </c>
    </row>
    <row r="61" spans="1:11" ht="38.25" thickBot="1">
      <c r="A61" s="64" t="s">
        <v>107</v>
      </c>
      <c r="B61" s="45"/>
      <c r="C61" s="46" t="s">
        <v>108</v>
      </c>
      <c r="D61" s="66"/>
      <c r="E61" s="48">
        <f>H61</f>
        <v>314031.1</v>
      </c>
      <c r="F61" s="48"/>
      <c r="G61" s="50"/>
      <c r="H61" s="50">
        <v>314031.1</v>
      </c>
      <c r="I61" s="81"/>
      <c r="J61" s="141">
        <f>299701.8+4580.03+1685.4+6170.91</f>
        <v>312138.14</v>
      </c>
      <c r="K61" s="154">
        <f t="shared" si="0"/>
        <v>99.39720620027764</v>
      </c>
    </row>
    <row r="62" spans="1:11" ht="26.25" customHeight="1" thickBot="1">
      <c r="A62" s="94"/>
      <c r="B62" s="35"/>
      <c r="C62" s="95" t="s">
        <v>59</v>
      </c>
      <c r="D62" s="96"/>
      <c r="E62" s="97">
        <f>E8+E12+E19+E31+E43+E51+E54</f>
        <v>23097415.939999998</v>
      </c>
      <c r="F62" s="97">
        <f>F12+F19+F31+F43+F51+F54</f>
        <v>5143136.16</v>
      </c>
      <c r="G62" s="97">
        <f>G31+G43+G51+G54</f>
        <v>3420072.44</v>
      </c>
      <c r="H62" s="97">
        <f>H8+H12+H19+H31+H43+H51+H54</f>
        <v>14534207.34</v>
      </c>
      <c r="I62" s="105">
        <f>I8+I12+I19+I31+I43+I51+I54</f>
        <v>4276863.84</v>
      </c>
      <c r="J62" s="132">
        <f>J8+J12+J19+J31+J43+J51+J54</f>
        <v>17264291.44</v>
      </c>
      <c r="K62" s="151">
        <f t="shared" si="0"/>
        <v>74.74555372275121</v>
      </c>
    </row>
    <row r="63" spans="1:10" ht="18.75" customHeight="1">
      <c r="A63" s="164"/>
      <c r="B63" s="98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64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61"/>
      <c r="B65" s="161"/>
      <c r="C65" s="161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60"/>
      <c r="D66" s="160"/>
      <c r="E66" s="160"/>
      <c r="F66" s="160"/>
      <c r="G66" s="160"/>
      <c r="H66" s="160"/>
      <c r="I66" s="160"/>
      <c r="J66" s="30"/>
    </row>
    <row r="67" spans="3:10" ht="3.75" customHeight="1">
      <c r="C67" s="160"/>
      <c r="D67" s="160"/>
      <c r="E67" s="160"/>
      <c r="F67" s="160"/>
      <c r="G67" s="160"/>
      <c r="H67" s="160"/>
      <c r="I67" s="160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6:I67"/>
    <mergeCell ref="A65:C65"/>
    <mergeCell ref="E3:E6"/>
    <mergeCell ref="F3:F6"/>
    <mergeCell ref="G3:I4"/>
    <mergeCell ref="G5:G6"/>
    <mergeCell ref="H5:H6"/>
    <mergeCell ref="A63:A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2015-12-28T08:13:52Z</cp:lastPrinted>
  <dcterms:created xsi:type="dcterms:W3CDTF">1996-10-08T23:32:33Z</dcterms:created>
  <dcterms:modified xsi:type="dcterms:W3CDTF">2015-12-29T13:19:47Z</dcterms:modified>
  <cp:category/>
  <cp:version/>
  <cp:contentType/>
  <cp:contentStatus/>
</cp:coreProperties>
</file>